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07" activeTab="0"/>
  </bookViews>
  <sheets>
    <sheet name="Sheet1" sheetId="1" r:id="rId1"/>
    <sheet name="TRID Rate" sheetId="2" r:id="rId2"/>
  </sheets>
  <definedNames>
    <definedName name="solver_lin" localSheetId="0">0</definedName>
    <definedName name="solver_num" localSheetId="0">0</definedName>
    <definedName name="solver_opt" localSheetId="0">'Sheet1'!#REF!</definedName>
    <definedName name="solver_typ" localSheetId="0">1</definedName>
    <definedName name="solver_val" localSheetId="0">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<sst xmlns="http://schemas.openxmlformats.org/spreadsheetml/2006/main" count="61" uniqueCount="42">
  <si>
    <t>Policy Amount</t>
  </si>
  <si>
    <t>Premium</t>
  </si>
  <si>
    <t>Agent 80%</t>
  </si>
  <si>
    <t>WFG 20%</t>
  </si>
  <si>
    <t>WITHOUT REISSUE</t>
  </si>
  <si>
    <t>Owner Liability</t>
  </si>
  <si>
    <t>Lender Liability</t>
  </si>
  <si>
    <t>CPL Premium (O)</t>
  </si>
  <si>
    <t>CPL Premium (L)</t>
  </si>
  <si>
    <t>Total Premium</t>
  </si>
  <si>
    <t>Owner Premium</t>
  </si>
  <si>
    <t>Lender Premium</t>
  </si>
  <si>
    <t>Prior Policy</t>
  </si>
  <si>
    <t>ALTA 5 (Y/N)</t>
  </si>
  <si>
    <t>y</t>
  </si>
  <si>
    <t>ALTA 8.1 (Y/N)</t>
  </si>
  <si>
    <t>ALTA 9 (Y/N)</t>
  </si>
  <si>
    <t>Total CPL cost</t>
  </si>
  <si>
    <t>Premium + CPL Fee</t>
  </si>
  <si>
    <t>Owner Total Premium</t>
  </si>
  <si>
    <t>Reallocated Owner Premium</t>
  </si>
  <si>
    <t>Commitment Charge</t>
  </si>
  <si>
    <t>Simultaneous Charge</t>
  </si>
  <si>
    <t>Endorsement Charge</t>
  </si>
  <si>
    <t>Total Premium and Charges</t>
  </si>
  <si>
    <t>Prior policy savings</t>
  </si>
  <si>
    <t xml:space="preserve"> WFG National Title Insurance Company</t>
  </si>
  <si>
    <t>TRID Calculations</t>
  </si>
  <si>
    <t>PURCHASE PRICE</t>
  </si>
  <si>
    <t>WFG</t>
  </si>
  <si>
    <t>LOAN AMOUNT</t>
  </si>
  <si>
    <t>OWNER'S POLICY PREMIUM AMOUNT</t>
  </si>
  <si>
    <t>LENDER'S POLICY PREMIUM AMOUNT</t>
  </si>
  <si>
    <t>TOTAL PREMIUM</t>
  </si>
  <si>
    <t>COMMITMENT CHARGE</t>
  </si>
  <si>
    <t>SIMULTANEOUS CHARGE</t>
  </si>
  <si>
    <t>ENDORSEMENT CHARGE</t>
  </si>
  <si>
    <t>TOTAL PREMIUM AND CHARGES</t>
  </si>
  <si>
    <t>PRIOR POLICY SAVINGS</t>
  </si>
  <si>
    <t>LOAN POLICY DISCLOSURE AMOUNT</t>
  </si>
  <si>
    <t>OWNER'S POLICY DISCLOSURE AMOUNT</t>
  </si>
  <si>
    <t>OWNER'S POLICY ADJUSTMENT AMOUNT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</si>
</sst>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(\$* #,##0.00_);_(\$* \(#,##0.00\);_(\$* \-??_);_(@_)"/>
    <numFmt numFmtId="166" formatCode="H:MM"/>
    <numFmt numFmtId="167" formatCode="\;;;"/>
    <numFmt numFmtId="168" formatCode="@"/>
  </numFmts>
  <fonts count="8">
    <font>
      <sz val="10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i/>
      <sz val="10"/>
      <name val="Arial"/>
      <family val="2"/>
    </font>
    <font>
      <b/>
      <sz val="10"/>
      <color indexed="31"/>
      <name val="Arial"/>
      <family val="2"/>
    </font>
    <font>
      <b/>
      <sz val="10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5">
    <xf numFmtId="164" fontId="0" fillId="0" borderId="0" xfId="0" applyAlignment="1">
      <alignment/>
    </xf>
    <xf numFmtId="164" fontId="0" fillId="0" borderId="0" xfId="0" applyAlignment="1" applyProtection="1">
      <alignment/>
      <protection/>
    </xf>
    <xf numFmtId="165" fontId="0" fillId="0" borderId="0" xfId="17" applyFont="1" applyFill="1" applyBorder="1" applyAlignment="1" applyProtection="1">
      <alignment/>
      <protection/>
    </xf>
    <xf numFmtId="165" fontId="1" fillId="0" borderId="0" xfId="17" applyFont="1" applyFill="1" applyBorder="1" applyAlignment="1" applyProtection="1">
      <alignment/>
      <protection/>
    </xf>
    <xf numFmtId="166" fontId="2" fillId="0" borderId="0" xfId="17" applyNumberFormat="1" applyFont="1" applyFill="1" applyBorder="1" applyAlignment="1" applyProtection="1">
      <alignment/>
      <protection/>
    </xf>
    <xf numFmtId="164" fontId="0" fillId="0" borderId="0" xfId="0" applyFont="1" applyAlignment="1" applyProtection="1">
      <alignment/>
      <protection/>
    </xf>
    <xf numFmtId="164" fontId="3" fillId="0" borderId="0" xfId="0" applyFont="1" applyAlignment="1" applyProtection="1">
      <alignment/>
      <protection locked="0"/>
    </xf>
    <xf numFmtId="164" fontId="3" fillId="0" borderId="0" xfId="0" applyFont="1" applyAlignment="1" applyProtection="1">
      <alignment/>
      <protection/>
    </xf>
    <xf numFmtId="165" fontId="0" fillId="0" borderId="0" xfId="17" applyFont="1" applyFill="1" applyBorder="1" applyAlignment="1" applyProtection="1">
      <alignment/>
      <protection locked="0"/>
    </xf>
    <xf numFmtId="165" fontId="2" fillId="0" borderId="0" xfId="17" applyNumberFormat="1" applyFont="1" applyFill="1" applyBorder="1" applyAlignment="1" applyProtection="1">
      <alignment/>
      <protection/>
    </xf>
    <xf numFmtId="165" fontId="3" fillId="0" borderId="0" xfId="17" applyFont="1" applyFill="1" applyBorder="1" applyAlignment="1" applyProtection="1">
      <alignment/>
      <protection/>
    </xf>
    <xf numFmtId="165" fontId="0" fillId="0" borderId="0" xfId="0" applyNumberFormat="1" applyAlignment="1">
      <alignment/>
    </xf>
    <xf numFmtId="164" fontId="1" fillId="0" borderId="0" xfId="0" applyFont="1" applyAlignment="1">
      <alignment/>
    </xf>
    <xf numFmtId="167" fontId="0" fillId="0" borderId="0" xfId="17" applyNumberFormat="1" applyFont="1" applyFill="1" applyBorder="1" applyAlignment="1" applyProtection="1">
      <alignment/>
      <protection/>
    </xf>
    <xf numFmtId="167" fontId="2" fillId="0" borderId="0" xfId="17" applyNumberFormat="1" applyFont="1" applyFill="1" applyBorder="1" applyAlignment="1" applyProtection="1">
      <alignment/>
      <protection/>
    </xf>
    <xf numFmtId="168" fontId="0" fillId="0" borderId="0" xfId="17" applyNumberFormat="1" applyFont="1" applyFill="1" applyBorder="1" applyAlignment="1" applyProtection="1">
      <alignment/>
      <protection locked="0"/>
    </xf>
    <xf numFmtId="165" fontId="0" fillId="0" borderId="0" xfId="17" applyNumberFormat="1" applyFont="1" applyFill="1" applyBorder="1" applyAlignment="1" applyProtection="1">
      <alignment/>
      <protection/>
    </xf>
    <xf numFmtId="164" fontId="0" fillId="0" borderId="0" xfId="17" applyNumberFormat="1" applyFont="1" applyFill="1" applyBorder="1" applyAlignment="1" applyProtection="1">
      <alignment/>
      <protection locked="0"/>
    </xf>
    <xf numFmtId="165" fontId="3" fillId="0" borderId="0" xfId="17" applyNumberFormat="1" applyFont="1" applyFill="1" applyBorder="1" applyAlignment="1" applyProtection="1">
      <alignment/>
      <protection/>
    </xf>
    <xf numFmtId="164" fontId="3" fillId="0" borderId="0" xfId="0" applyFont="1" applyAlignment="1">
      <alignment/>
    </xf>
    <xf numFmtId="164" fontId="0" fillId="0" borderId="0" xfId="0" applyAlignment="1" applyProtection="1">
      <alignment/>
      <protection locked="0"/>
    </xf>
    <xf numFmtId="164" fontId="4" fillId="0" borderId="0" xfId="0" applyFont="1" applyFill="1" applyBorder="1" applyAlignment="1">
      <alignment/>
    </xf>
    <xf numFmtId="164" fontId="0" fillId="0" borderId="0" xfId="0" applyFill="1" applyAlignment="1">
      <alignment/>
    </xf>
    <xf numFmtId="164" fontId="4" fillId="0" borderId="0" xfId="0" applyFont="1" applyFill="1" applyAlignment="1">
      <alignment/>
    </xf>
    <xf numFmtId="164" fontId="3" fillId="0" borderId="0" xfId="0" applyFont="1" applyFill="1" applyAlignment="1">
      <alignment/>
    </xf>
    <xf numFmtId="164" fontId="5" fillId="0" borderId="0" xfId="0" applyFont="1" applyBorder="1" applyAlignment="1" applyProtection="1">
      <alignment/>
      <protection locked="0"/>
    </xf>
    <xf numFmtId="164" fontId="3" fillId="0" borderId="0" xfId="0" applyFont="1" applyBorder="1" applyAlignment="1" applyProtection="1">
      <alignment/>
      <protection locked="0"/>
    </xf>
    <xf numFmtId="164" fontId="3" fillId="0" borderId="0" xfId="0" applyFont="1" applyBorder="1" applyAlignment="1" applyProtection="1">
      <alignment/>
      <protection/>
    </xf>
    <xf numFmtId="164" fontId="3" fillId="0" borderId="0" xfId="0" applyFont="1" applyFill="1" applyBorder="1" applyAlignment="1" applyProtection="1">
      <alignment/>
      <protection/>
    </xf>
    <xf numFmtId="164" fontId="3" fillId="0" borderId="1" xfId="0" applyFont="1" applyBorder="1" applyAlignment="1" applyProtection="1">
      <alignment/>
      <protection/>
    </xf>
    <xf numFmtId="164" fontId="3" fillId="0" borderId="2" xfId="0" applyFont="1" applyBorder="1" applyAlignment="1" applyProtection="1">
      <alignment/>
      <protection/>
    </xf>
    <xf numFmtId="165" fontId="3" fillId="0" borderId="3" xfId="0" applyNumberFormat="1" applyFont="1" applyBorder="1" applyAlignment="1" applyProtection="1">
      <alignment/>
      <protection/>
    </xf>
    <xf numFmtId="164" fontId="3" fillId="0" borderId="4" xfId="0" applyFont="1" applyBorder="1" applyAlignment="1" applyProtection="1">
      <alignment/>
      <protection/>
    </xf>
    <xf numFmtId="164" fontId="6" fillId="0" borderId="0" xfId="0" applyFont="1" applyBorder="1" applyAlignment="1" applyProtection="1">
      <alignment/>
      <protection/>
    </xf>
    <xf numFmtId="164" fontId="3" fillId="0" borderId="5" xfId="0" applyFont="1" applyBorder="1" applyAlignment="1" applyProtection="1">
      <alignment/>
      <protection/>
    </xf>
    <xf numFmtId="165" fontId="3" fillId="0" borderId="5" xfId="0" applyNumberFormat="1" applyFont="1" applyBorder="1" applyAlignment="1" applyProtection="1">
      <alignment/>
      <protection/>
    </xf>
    <xf numFmtId="164" fontId="3" fillId="0" borderId="6" xfId="0" applyFont="1" applyBorder="1" applyAlignment="1" applyProtection="1">
      <alignment/>
      <protection/>
    </xf>
    <xf numFmtId="164" fontId="3" fillId="0" borderId="7" xfId="0" applyFont="1" applyBorder="1" applyAlignment="1" applyProtection="1">
      <alignment/>
      <protection/>
    </xf>
    <xf numFmtId="165" fontId="3" fillId="0" borderId="8" xfId="0" applyNumberFormat="1" applyFont="1" applyBorder="1" applyAlignment="1" applyProtection="1">
      <alignment/>
      <protection/>
    </xf>
    <xf numFmtId="165" fontId="7" fillId="2" borderId="0" xfId="0" applyNumberFormat="1" applyFont="1" applyFill="1" applyBorder="1" applyAlignment="1" applyProtection="1">
      <alignment/>
      <protection/>
    </xf>
    <xf numFmtId="164" fontId="0" fillId="0" borderId="0" xfId="0" applyBorder="1" applyAlignment="1">
      <alignment/>
    </xf>
    <xf numFmtId="164" fontId="0" fillId="0" borderId="0" xfId="0" applyBorder="1" applyAlignment="1" applyProtection="1">
      <alignment/>
      <protection/>
    </xf>
    <xf numFmtId="164" fontId="5" fillId="0" borderId="0" xfId="0" applyFont="1" applyBorder="1" applyAlignment="1" applyProtection="1">
      <alignment/>
      <protection/>
    </xf>
    <xf numFmtId="164" fontId="3" fillId="0" borderId="0" xfId="0" applyFont="1" applyBorder="1" applyAlignment="1">
      <alignment/>
    </xf>
    <xf numFmtId="165" fontId="3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J54"/>
  <sheetViews>
    <sheetView tabSelected="1" workbookViewId="0" topLeftCell="A1">
      <selection activeCell="C21" sqref="C21"/>
    </sheetView>
  </sheetViews>
  <sheetFormatPr defaultColWidth="9.140625" defaultRowHeight="12.75"/>
  <cols>
    <col min="1" max="1" width="4.28125" style="0" customWidth="1"/>
    <col min="2" max="2" width="26.8515625" style="0" customWidth="1"/>
    <col min="3" max="3" width="18.00390625" style="0" customWidth="1"/>
    <col min="4" max="4" width="18.140625" style="0" customWidth="1"/>
    <col min="5" max="5" width="2.421875" style="0" customWidth="1"/>
    <col min="6" max="7" width="10.421875" style="0" customWidth="1"/>
    <col min="8" max="8" width="11.140625" style="0" customWidth="1"/>
    <col min="9" max="9" width="12.28125" style="0" customWidth="1"/>
    <col min="10" max="16384" width="8.8515625" style="0" customWidth="1"/>
  </cols>
  <sheetData>
    <row r="3" spans="1:8" ht="12.75">
      <c r="A3" s="1"/>
      <c r="B3" s="1"/>
      <c r="C3" s="1"/>
      <c r="D3" s="1"/>
      <c r="E3" s="1"/>
      <c r="F3" s="1"/>
      <c r="G3" s="1"/>
      <c r="H3" s="1"/>
    </row>
    <row r="4" spans="1:8" ht="12.75">
      <c r="A4" s="1"/>
      <c r="B4" s="1"/>
      <c r="C4" s="2"/>
      <c r="D4" s="3"/>
      <c r="E4" s="2"/>
      <c r="F4" s="1"/>
      <c r="G4" s="1"/>
      <c r="H4" s="1"/>
    </row>
    <row r="5" spans="1:8" ht="12.75">
      <c r="A5" s="1"/>
      <c r="B5" s="1"/>
      <c r="C5" s="2"/>
      <c r="D5" s="3"/>
      <c r="E5" s="4"/>
      <c r="F5" s="2"/>
      <c r="G5" s="1"/>
      <c r="H5" s="1"/>
    </row>
    <row r="6" spans="1:8" ht="12.75">
      <c r="A6" s="1"/>
      <c r="B6" s="1"/>
      <c r="C6" s="2"/>
      <c r="D6" s="2"/>
      <c r="E6" s="4"/>
      <c r="F6" s="1"/>
      <c r="G6" s="1"/>
      <c r="H6" s="1"/>
    </row>
    <row r="7" spans="1:8" ht="12.75">
      <c r="A7" s="1"/>
      <c r="B7" s="1"/>
      <c r="C7" s="1"/>
      <c r="D7" s="2"/>
      <c r="E7" s="1"/>
      <c r="F7" s="1"/>
      <c r="G7" s="1"/>
      <c r="H7" s="1"/>
    </row>
    <row r="8" spans="1:8" ht="12.75">
      <c r="A8" s="1"/>
      <c r="B8" s="1"/>
      <c r="C8" s="1"/>
      <c r="D8" s="1"/>
      <c r="E8" s="1"/>
      <c r="F8" s="1"/>
      <c r="G8" s="1"/>
      <c r="H8" s="1"/>
    </row>
    <row r="9" spans="1:8" ht="13.5" customHeight="1">
      <c r="A9" s="1"/>
      <c r="B9" s="1"/>
      <c r="C9" s="1" t="s">
        <v>0</v>
      </c>
      <c r="D9" s="1" t="s">
        <v>1</v>
      </c>
      <c r="E9" s="1"/>
      <c r="F9" s="5" t="s">
        <v>2</v>
      </c>
      <c r="G9" s="5" t="s">
        <v>3</v>
      </c>
      <c r="H9" s="5"/>
    </row>
    <row r="10" spans="1:8" ht="13.5" customHeight="1" hidden="1">
      <c r="A10" s="1"/>
      <c r="B10" s="6"/>
      <c r="C10" s="1"/>
      <c r="D10" s="1"/>
      <c r="E10" s="1"/>
      <c r="F10" s="1"/>
      <c r="G10" s="1"/>
      <c r="H10" s="1"/>
    </row>
    <row r="11" spans="1:8" ht="15" customHeight="1" hidden="1">
      <c r="A11" s="1"/>
      <c r="B11" s="7" t="s">
        <v>4</v>
      </c>
      <c r="D11" s="1"/>
      <c r="E11" s="1"/>
      <c r="F11" s="1"/>
      <c r="G11" s="1"/>
      <c r="H11" s="1"/>
    </row>
    <row r="12" spans="2:8" ht="12" customHeight="1" hidden="1">
      <c r="B12" s="5" t="s">
        <v>5</v>
      </c>
      <c r="C12" s="8">
        <f>ROUNDUP(+C22,-3)</f>
        <v>0</v>
      </c>
      <c r="D12" s="3">
        <f>IF(C12=0,0,IF(C12&lt;20000,50,IF(C12&lt;=100000,+C12/1000*2.45,IF(C12&lt;=500000,245+(C12-100000)/1000*1.91,IF(C12&lt;=2000000,1009+(C12-500000)/1000*1.25,IF(C12&lt;=7000000,2884+(C12-2000000)/1000*0.96,7684+(C12-7000000)/1000*0.66))))))</f>
        <v>0</v>
      </c>
      <c r="E12" s="9"/>
      <c r="F12" s="2">
        <f aca="true" t="shared" si="0" ref="F12:F18">+D12*0.8</f>
        <v>0</v>
      </c>
      <c r="G12" s="2">
        <f aca="true" t="shared" si="1" ref="G12:G18">+D12*0.2</f>
        <v>0</v>
      </c>
      <c r="H12" s="2"/>
    </row>
    <row r="13" spans="2:8" ht="12.75" customHeight="1" hidden="1">
      <c r="B13" s="5" t="s">
        <v>6</v>
      </c>
      <c r="C13" s="8">
        <f>ROUNDUP(+C23,-3)</f>
        <v>174000</v>
      </c>
      <c r="D13" s="3">
        <f>IF(C13=0,0,IF(C13&lt;20000,50,IF(C13&lt;=100000,+C13/1000*2.45,IF(C13&lt;=500000,245+(C13-100000)/1000*1.91,IF(C13&lt;=2000000,1009+(C13-500000)/1000*1.25,IF(C13&lt;=7000000,2884+(C13-2000000)/1000*0.96,7684+(C13-7000000)/1000*0.66))))))</f>
        <v>386.34000000000003</v>
      </c>
      <c r="E13" s="9"/>
      <c r="F13" s="2">
        <f t="shared" si="0"/>
        <v>309.07200000000006</v>
      </c>
      <c r="G13" s="2">
        <f t="shared" si="1"/>
        <v>77.26800000000001</v>
      </c>
      <c r="H13" s="2"/>
    </row>
    <row r="14" spans="2:8" ht="16.5" customHeight="1" hidden="1">
      <c r="B14" s="1" t="s">
        <v>7</v>
      </c>
      <c r="C14" s="2"/>
      <c r="D14" s="2"/>
      <c r="E14" s="2"/>
      <c r="F14" s="2">
        <f t="shared" si="0"/>
        <v>0</v>
      </c>
      <c r="G14" s="2">
        <f t="shared" si="1"/>
        <v>0</v>
      </c>
      <c r="H14" s="1"/>
    </row>
    <row r="15" spans="2:8" ht="17.25" customHeight="1" hidden="1">
      <c r="B15" s="1" t="s">
        <v>8</v>
      </c>
      <c r="C15" s="2"/>
      <c r="D15" s="2"/>
      <c r="E15" s="2"/>
      <c r="F15" s="2">
        <f t="shared" si="0"/>
        <v>0</v>
      </c>
      <c r="G15" s="2">
        <f t="shared" si="1"/>
        <v>0</v>
      </c>
      <c r="H15" s="1"/>
    </row>
    <row r="16" spans="2:8" ht="14.25" customHeight="1" hidden="1">
      <c r="B16" s="7" t="s">
        <v>9</v>
      </c>
      <c r="C16" s="10"/>
      <c r="D16" s="10">
        <f>IF(+C12&gt;=+C13,+D12+D34,+D13+D34)</f>
        <v>455.22</v>
      </c>
      <c r="E16" s="2"/>
      <c r="F16" s="2">
        <f t="shared" si="0"/>
        <v>364.17600000000004</v>
      </c>
      <c r="G16" s="2">
        <f t="shared" si="1"/>
        <v>91.04400000000001</v>
      </c>
      <c r="H16" s="1"/>
    </row>
    <row r="17" spans="2:9" ht="17.25" customHeight="1" hidden="1">
      <c r="B17" s="7" t="s">
        <v>10</v>
      </c>
      <c r="C17" s="10"/>
      <c r="D17" s="10">
        <f>IF(+C12&gt;=+C13,+D16-D18,0)</f>
        <v>0</v>
      </c>
      <c r="E17" s="2"/>
      <c r="F17" s="2">
        <f t="shared" si="0"/>
        <v>0</v>
      </c>
      <c r="G17" s="2">
        <f t="shared" si="1"/>
        <v>0</v>
      </c>
      <c r="H17" s="1"/>
      <c r="I17" s="11">
        <f>ROUNDUP(+C21,-3)</f>
        <v>57000</v>
      </c>
    </row>
    <row r="18" spans="2:8" ht="13.5" customHeight="1" hidden="1">
      <c r="B18" s="7" t="s">
        <v>11</v>
      </c>
      <c r="C18" s="10"/>
      <c r="D18" s="10">
        <f>+D13+D15</f>
        <v>386.34000000000003</v>
      </c>
      <c r="E18" s="9"/>
      <c r="F18" s="2">
        <f t="shared" si="0"/>
        <v>309.07200000000006</v>
      </c>
      <c r="G18" s="2">
        <f t="shared" si="1"/>
        <v>77.26800000000001</v>
      </c>
      <c r="H18" s="1"/>
    </row>
    <row r="19" spans="2:8" ht="16.5" customHeight="1" hidden="1">
      <c r="B19" s="1"/>
      <c r="C19" s="2"/>
      <c r="D19" s="2"/>
      <c r="E19" s="2"/>
      <c r="F19" s="2"/>
      <c r="G19" s="2"/>
      <c r="H19" s="1"/>
    </row>
    <row r="20" spans="2:8" ht="12.75">
      <c r="B20" s="7"/>
      <c r="C20" s="2"/>
      <c r="D20" s="2"/>
      <c r="E20" s="2"/>
      <c r="F20" s="2"/>
      <c r="G20" s="2"/>
      <c r="H20" s="1"/>
    </row>
    <row r="21" spans="2:8" ht="12.75">
      <c r="B21" s="5" t="s">
        <v>12</v>
      </c>
      <c r="C21" s="8">
        <v>56700</v>
      </c>
      <c r="D21" s="3">
        <f>IF(I17=0,0,IF(I17&lt;20000,25,IF(I17&lt;=100000,+I17/1000*1.225,IF(I17&lt;=500000,122.5+(I17-100000)/1000*0.955,IF(I17&lt;=2000000,504.5+(I17-500000)/1000*0.625,IF(I17&lt;=7000000,1442+(CI17-2000000)/1000*0.48,3842+(I17-7000000)/1000*0.33))))))</f>
        <v>69.825</v>
      </c>
      <c r="E21" s="2"/>
      <c r="F21" s="3"/>
      <c r="G21" s="2"/>
      <c r="H21" s="1"/>
    </row>
    <row r="22" spans="2:8" ht="12.75">
      <c r="B22" s="5" t="s">
        <v>5</v>
      </c>
      <c r="C22" s="8"/>
      <c r="D22" s="3">
        <f>IF(C12=0,0,IF(C12&lt;20000,50,IF(C12&lt;=100000,+C12/1000*2.45,IF(C12&lt;=500000,245+(C12-100000)/1000*1.91,IF(C12&lt;=2000000,1009+(C12-500000)/1000*1.25,IF(C12&lt;=7000000,2884+(C12-2000000)/1000*0.96,7684+(C12-7000000)/1000*0.66))))))</f>
        <v>0</v>
      </c>
      <c r="E22" s="4">
        <f>IF(C12&lt;41000,50,IF(I17&gt;=C12,D22/2,D22))</f>
        <v>50</v>
      </c>
      <c r="F22" s="3"/>
      <c r="G22" s="2"/>
      <c r="H22" s="1"/>
    </row>
    <row r="23" spans="2:9" ht="12.75">
      <c r="B23" s="5" t="s">
        <v>6</v>
      </c>
      <c r="C23" s="8">
        <v>173878</v>
      </c>
      <c r="D23" s="3">
        <f>IF(C13=0,0,IF(C13&lt;20000,50,IF(C13&lt;=100000,+C13/1000*2.45,IF(C13&lt;=500000,245+(C13-100000)/1000*1.91,IF(C13&lt;=2000000,1009+(C13-500000)/1000*1.25,IF(C13&lt;=7000000,2884+(C13-2000000)/1000*0.96,7684+(C13-7000000)/1000*0.66))))))</f>
        <v>386.34000000000003</v>
      </c>
      <c r="E23" s="4">
        <f>IF(C13&lt;41000,50,IF(I17&gt;=C13,D23/2,D23))</f>
        <v>386.34000000000003</v>
      </c>
      <c r="F23" s="3"/>
      <c r="G23" s="2"/>
      <c r="H23" s="1"/>
      <c r="I23" s="12"/>
    </row>
    <row r="24" spans="2:10" ht="12.75">
      <c r="B24" s="1"/>
      <c r="C24" s="2"/>
      <c r="D24" s="13">
        <f>IF(C12=0,0,IF(C21&gt;=C12,E22,E24))</f>
        <v>0</v>
      </c>
      <c r="E24" s="4">
        <f>IF(D22-D21&lt;50,50,D22-D21)</f>
        <v>50</v>
      </c>
      <c r="F24" s="13">
        <f aca="true" t="shared" si="2" ref="F24:F39">+D24*0.8</f>
        <v>0</v>
      </c>
      <c r="G24" s="13">
        <f aca="true" t="shared" si="3" ref="G24:G39">+D24*0.2</f>
        <v>0</v>
      </c>
      <c r="H24" s="2"/>
      <c r="J24" s="12"/>
    </row>
    <row r="25" spans="2:10" ht="12.75">
      <c r="B25" s="1"/>
      <c r="C25" s="2"/>
      <c r="D25" s="13">
        <f>IF(C13=0,0,IF(C21&gt;=C13,E23,E25))</f>
        <v>316.51500000000004</v>
      </c>
      <c r="E25" s="14">
        <f>IF(D23-D21&lt;50,50,D23-D21)</f>
        <v>316.51500000000004</v>
      </c>
      <c r="F25" s="13">
        <f t="shared" si="2"/>
        <v>253.21200000000005</v>
      </c>
      <c r="G25" s="13">
        <f t="shared" si="3"/>
        <v>63.30300000000001</v>
      </c>
      <c r="H25" s="2"/>
      <c r="J25" s="12"/>
    </row>
    <row r="26" spans="2:10" ht="12.75">
      <c r="B26" s="1" t="s">
        <v>13</v>
      </c>
      <c r="C26" s="15" t="s">
        <v>14</v>
      </c>
      <c r="D26" s="16">
        <f>IF(C26="Y",20,0)</f>
        <v>20</v>
      </c>
      <c r="E26" s="14"/>
      <c r="F26" s="13"/>
      <c r="G26" s="13"/>
      <c r="H26" s="2"/>
      <c r="I26" s="12"/>
      <c r="J26" s="12"/>
    </row>
    <row r="27" spans="2:10" ht="12.75">
      <c r="B27" s="1" t="s">
        <v>15</v>
      </c>
      <c r="C27" s="17" t="s">
        <v>14</v>
      </c>
      <c r="D27" s="16">
        <f>IF(C27="Y",20,0)</f>
        <v>20</v>
      </c>
      <c r="E27" s="14"/>
      <c r="F27" s="13"/>
      <c r="G27" s="13"/>
      <c r="H27" s="2"/>
      <c r="I27" s="12"/>
      <c r="J27" s="12"/>
    </row>
    <row r="28" spans="2:10" ht="12.75">
      <c r="B28" s="1" t="s">
        <v>16</v>
      </c>
      <c r="C28" s="17" t="s">
        <v>14</v>
      </c>
      <c r="D28" s="16">
        <f>IF(C28="Y",20,0)</f>
        <v>20</v>
      </c>
      <c r="E28" s="14"/>
      <c r="F28" s="13"/>
      <c r="G28" s="13"/>
      <c r="H28" s="2"/>
      <c r="I28" s="12"/>
      <c r="J28" s="12"/>
    </row>
    <row r="29" spans="2:10" ht="12.75">
      <c r="B29" s="1"/>
      <c r="C29" s="2"/>
      <c r="D29" s="16">
        <f>SUM(D26:D28)</f>
        <v>60</v>
      </c>
      <c r="E29" s="14"/>
      <c r="F29" s="13"/>
      <c r="G29" s="13"/>
      <c r="H29" s="2"/>
      <c r="I29" s="12"/>
      <c r="J29" s="12"/>
    </row>
    <row r="30" spans="2:10" ht="12.75">
      <c r="B30" s="1"/>
      <c r="C30" s="2"/>
      <c r="D30" s="13"/>
      <c r="E30" s="14"/>
      <c r="F30" s="13"/>
      <c r="G30" s="13"/>
      <c r="H30" s="2"/>
      <c r="I30" s="12"/>
      <c r="J30" s="12"/>
    </row>
    <row r="31" spans="2:10" ht="12.75">
      <c r="B31" s="1"/>
      <c r="C31" s="2"/>
      <c r="D31" s="13"/>
      <c r="E31" s="14"/>
      <c r="F31" s="13"/>
      <c r="G31" s="13"/>
      <c r="H31" s="2"/>
      <c r="I31" s="12"/>
      <c r="J31" s="12"/>
    </row>
    <row r="32" spans="2:10" ht="12.75">
      <c r="B32" s="1" t="s">
        <v>7</v>
      </c>
      <c r="C32" s="13">
        <f>IF(C33=108,0,IF(C12&lt;=C13,0,IF(C12&lt;100000,+(C12/1000)*0.6,IF(C12&lt;=500000,60+(C12-100000)/1000*0.12,108))))</f>
        <v>0</v>
      </c>
      <c r="D32" s="2">
        <f>IF(C13=0,0,IF(C12&lt;=C13,0,+C32-D33))</f>
        <v>0</v>
      </c>
      <c r="E32" s="1"/>
      <c r="F32" s="2">
        <f t="shared" si="2"/>
        <v>0</v>
      </c>
      <c r="G32" s="2">
        <f t="shared" si="3"/>
        <v>0</v>
      </c>
      <c r="H32" s="1"/>
      <c r="J32" s="12"/>
    </row>
    <row r="33" spans="2:8" ht="12.75">
      <c r="B33" s="1" t="s">
        <v>8</v>
      </c>
      <c r="C33" s="2"/>
      <c r="D33" s="2">
        <f>IF(C13&lt;100000,+(C13/1000)*0.6,IF(C13&lt;=500000,60+(C13-100000)/1000*0.12,108))</f>
        <v>68.88</v>
      </c>
      <c r="E33" s="1"/>
      <c r="F33" s="2">
        <f t="shared" si="2"/>
        <v>55.104</v>
      </c>
      <c r="G33" s="2">
        <f t="shared" si="3"/>
        <v>13.776</v>
      </c>
      <c r="H33" s="1"/>
    </row>
    <row r="34" spans="2:8" ht="12.75">
      <c r="B34" s="1" t="s">
        <v>17</v>
      </c>
      <c r="C34" s="2"/>
      <c r="D34" s="2">
        <f>+D32+D33</f>
        <v>68.88</v>
      </c>
      <c r="E34" s="1"/>
      <c r="F34" s="2">
        <f>+D34*0.8</f>
        <v>55.104</v>
      </c>
      <c r="G34" s="2">
        <f>+D34*0.2</f>
        <v>13.776</v>
      </c>
      <c r="H34" s="1"/>
    </row>
    <row r="35" spans="2:8" ht="12.75">
      <c r="B35" s="7" t="s">
        <v>1</v>
      </c>
      <c r="C35" s="2"/>
      <c r="D35" s="10">
        <f>IF(+C22&gt;+C23,+D24,+D25)</f>
        <v>316.51500000000004</v>
      </c>
      <c r="E35" s="1"/>
      <c r="F35" s="2">
        <f>+D35*0.8</f>
        <v>253.21200000000005</v>
      </c>
      <c r="G35" s="2">
        <f>+D35*0.2</f>
        <v>63.30300000000001</v>
      </c>
      <c r="H35" s="1"/>
    </row>
    <row r="36" spans="2:8" ht="12.75">
      <c r="B36" s="7" t="s">
        <v>18</v>
      </c>
      <c r="C36" s="7"/>
      <c r="D36" s="10">
        <f>IF(+C12&gt;+C13,+D24+D32+D33,+D25+D33)</f>
        <v>385.39500000000004</v>
      </c>
      <c r="E36" s="1"/>
      <c r="F36" s="2">
        <f t="shared" si="2"/>
        <v>308.31600000000003</v>
      </c>
      <c r="G36" s="2">
        <f t="shared" si="3"/>
        <v>77.07900000000001</v>
      </c>
      <c r="H36" s="1"/>
    </row>
    <row r="37" spans="2:8" ht="12.75">
      <c r="B37" s="7" t="s">
        <v>19</v>
      </c>
      <c r="C37" s="7"/>
      <c r="D37" s="10">
        <f>IF(C22&lt;=C23,0,D24+D32+D33)</f>
        <v>0</v>
      </c>
      <c r="E37" s="1"/>
      <c r="F37" s="2">
        <f t="shared" si="2"/>
        <v>0</v>
      </c>
      <c r="G37" s="2">
        <f t="shared" si="3"/>
        <v>0</v>
      </c>
      <c r="H37" s="1"/>
    </row>
    <row r="38" spans="2:8" ht="12.75">
      <c r="B38" s="7" t="s">
        <v>20</v>
      </c>
      <c r="C38" s="10"/>
      <c r="D38" s="10">
        <f>IF(C12&lt;=C13,0,+D36-D39)</f>
        <v>0</v>
      </c>
      <c r="E38" s="1"/>
      <c r="F38" s="2">
        <f t="shared" si="2"/>
        <v>0</v>
      </c>
      <c r="G38" s="2">
        <f t="shared" si="3"/>
        <v>0</v>
      </c>
      <c r="H38" s="1"/>
    </row>
    <row r="39" spans="2:8" ht="12.75">
      <c r="B39" s="7" t="s">
        <v>11</v>
      </c>
      <c r="C39" s="10"/>
      <c r="D39" s="10">
        <f>+D25+D33</f>
        <v>385.39500000000004</v>
      </c>
      <c r="E39" s="1"/>
      <c r="F39" s="2">
        <f t="shared" si="2"/>
        <v>308.31600000000003</v>
      </c>
      <c r="G39" s="2">
        <f t="shared" si="3"/>
        <v>77.07900000000001</v>
      </c>
      <c r="H39" s="1"/>
    </row>
    <row r="40" spans="2:8" ht="12.75">
      <c r="B40" s="7"/>
      <c r="C40" s="10"/>
      <c r="D40" s="10"/>
      <c r="E40" s="1"/>
      <c r="F40" s="2"/>
      <c r="G40" s="2"/>
      <c r="H40" s="1"/>
    </row>
    <row r="41" spans="2:8" ht="12.75">
      <c r="B41" s="7" t="s">
        <v>21</v>
      </c>
      <c r="C41" s="10"/>
      <c r="D41" s="18">
        <f>IF(F54&gt;=1,15,0)</f>
        <v>15</v>
      </c>
      <c r="E41" s="1"/>
      <c r="F41" s="2">
        <f>+D41*0.8</f>
        <v>12</v>
      </c>
      <c r="G41" s="2">
        <f>+D41*0.2</f>
        <v>3</v>
      </c>
      <c r="H41" s="1"/>
    </row>
    <row r="42" spans="2:8" ht="12.75">
      <c r="B42" s="7" t="s">
        <v>22</v>
      </c>
      <c r="C42" s="10"/>
      <c r="D42" s="10">
        <f>IF(F54=2,25,0)</f>
        <v>0</v>
      </c>
      <c r="E42" s="1"/>
      <c r="F42" s="2">
        <f>+D42*0.8</f>
        <v>0</v>
      </c>
      <c r="G42" s="2">
        <f>+D42*0.2</f>
        <v>0</v>
      </c>
      <c r="H42" s="1"/>
    </row>
    <row r="43" spans="2:8" ht="12.75">
      <c r="B43" s="7" t="s">
        <v>23</v>
      </c>
      <c r="C43" s="10"/>
      <c r="D43" s="10">
        <f>+D29</f>
        <v>60</v>
      </c>
      <c r="E43" s="1"/>
      <c r="F43" s="2">
        <f>+D43*0.8</f>
        <v>48</v>
      </c>
      <c r="G43" s="2">
        <f>+D43*0.2</f>
        <v>12</v>
      </c>
      <c r="H43" s="1"/>
    </row>
    <row r="44" spans="2:8" ht="12.75">
      <c r="B44" s="7"/>
      <c r="C44" s="10"/>
      <c r="D44" s="10"/>
      <c r="E44" s="1"/>
      <c r="F44" s="2"/>
      <c r="G44" s="2"/>
      <c r="H44" s="1"/>
    </row>
    <row r="45" spans="2:8" ht="12.75">
      <c r="B45" s="7" t="s">
        <v>24</v>
      </c>
      <c r="C45" s="10"/>
      <c r="D45" s="10">
        <f>+D36+D41+D42+D43</f>
        <v>460.39500000000004</v>
      </c>
      <c r="E45" s="1"/>
      <c r="F45" s="2">
        <f>+D45*0.8</f>
        <v>368.31600000000003</v>
      </c>
      <c r="G45" s="2">
        <f>+D45*0.2</f>
        <v>92.07900000000001</v>
      </c>
      <c r="H45" s="1"/>
    </row>
    <row r="46" spans="2:8" ht="12.75">
      <c r="B46" s="7"/>
      <c r="C46" s="10"/>
      <c r="D46" s="10"/>
      <c r="E46" s="1"/>
      <c r="F46" s="2"/>
      <c r="G46" s="2"/>
      <c r="H46" s="1"/>
    </row>
    <row r="47" spans="2:8" ht="12.75">
      <c r="B47" s="19" t="s">
        <v>25</v>
      </c>
      <c r="C47" s="10"/>
      <c r="D47" s="10">
        <f>+D16-D36</f>
        <v>69.82499999999999</v>
      </c>
      <c r="E47" s="20"/>
      <c r="F47" s="2"/>
      <c r="G47" s="2"/>
      <c r="H47" s="20"/>
    </row>
    <row r="48" spans="3:4" ht="12.75">
      <c r="C48" s="2"/>
      <c r="D48" s="2"/>
    </row>
    <row r="49" ht="12.75">
      <c r="F49" s="12">
        <f>IF(C22&gt;1,1,0)</f>
        <v>0</v>
      </c>
    </row>
    <row r="50" spans="3:6" ht="12.75">
      <c r="C50" s="12">
        <f>IF(C22=0,0,IF(C22&gt;=C23,1,2))</f>
        <v>0</v>
      </c>
      <c r="F50" s="12">
        <f>IF(C23&gt;0,1,0)</f>
        <v>1</v>
      </c>
    </row>
    <row r="54" ht="12.75">
      <c r="F54" s="12">
        <f>+F49+F50</f>
        <v>1</v>
      </c>
    </row>
  </sheetData>
  <sheetProtection password="CC35" sheet="1" objects="1" scenarios="1" select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K42"/>
  <sheetViews>
    <sheetView workbookViewId="0" topLeftCell="A9">
      <selection activeCell="H23" sqref="H23"/>
    </sheetView>
  </sheetViews>
  <sheetFormatPr defaultColWidth="9.140625" defaultRowHeight="12.75"/>
  <cols>
    <col min="1" max="1" width="8.8515625" style="0" customWidth="1"/>
    <col min="2" max="2" width="5.00390625" style="0" customWidth="1"/>
    <col min="3" max="5" width="8.8515625" style="0" customWidth="1"/>
    <col min="6" max="6" width="11.140625" style="0" customWidth="1"/>
    <col min="7" max="7" width="18.140625" style="0" customWidth="1"/>
    <col min="8" max="8" width="15.7109375" style="0" customWidth="1"/>
    <col min="10" max="16384" width="8.8515625" style="0" customWidth="1"/>
  </cols>
  <sheetData>
    <row r="2" spans="2:11" ht="12.75">
      <c r="B2" s="21" t="s">
        <v>26</v>
      </c>
      <c r="C2" s="22"/>
      <c r="D2" s="22"/>
      <c r="E2" s="23"/>
      <c r="F2" s="23"/>
      <c r="G2" s="23"/>
      <c r="H2" s="23"/>
      <c r="I2" s="22"/>
      <c r="J2" s="22"/>
      <c r="K2" s="22"/>
    </row>
    <row r="3" spans="1:11" ht="12.75">
      <c r="A3" s="22"/>
      <c r="B3" s="24"/>
      <c r="E3" s="24" t="s">
        <v>27</v>
      </c>
      <c r="F3" s="24"/>
      <c r="G3" s="24"/>
      <c r="H3" s="24"/>
      <c r="I3" s="22"/>
      <c r="J3" s="22"/>
      <c r="K3" s="22"/>
    </row>
    <row r="4" spans="1:11" ht="12.75">
      <c r="A4" s="22"/>
      <c r="B4" s="24"/>
      <c r="C4" s="24"/>
      <c r="D4" s="24"/>
      <c r="E4" s="24"/>
      <c r="F4" s="24"/>
      <c r="G4" s="24"/>
      <c r="H4" s="24"/>
      <c r="I4" s="22"/>
      <c r="J4" s="22"/>
      <c r="K4" s="22"/>
    </row>
    <row r="5" spans="1:11" ht="12.75">
      <c r="A5" s="22"/>
      <c r="B5" s="24"/>
      <c r="C5" s="24"/>
      <c r="D5" s="24"/>
      <c r="E5" s="24"/>
      <c r="F5" s="24"/>
      <c r="G5" s="24"/>
      <c r="H5" s="24"/>
      <c r="I5" s="22"/>
      <c r="J5" s="22"/>
      <c r="K5" s="22"/>
    </row>
    <row r="6" spans="1:11" ht="12.75">
      <c r="A6" s="22"/>
      <c r="B6" s="24"/>
      <c r="C6" s="24"/>
      <c r="D6" s="24"/>
      <c r="E6" s="24"/>
      <c r="F6" s="24"/>
      <c r="G6" s="24"/>
      <c r="H6" s="24"/>
      <c r="I6" s="22"/>
      <c r="J6" s="22"/>
      <c r="K6" s="22"/>
    </row>
    <row r="7" spans="1:11" ht="12.75">
      <c r="A7" s="22"/>
      <c r="B7" s="24"/>
      <c r="C7" s="24"/>
      <c r="D7" s="24"/>
      <c r="E7" s="24"/>
      <c r="F7" s="24"/>
      <c r="G7" s="24"/>
      <c r="H7" s="24"/>
      <c r="I7" s="22"/>
      <c r="J7" s="22"/>
      <c r="K7" s="22"/>
    </row>
    <row r="8" spans="3:9" ht="12.75">
      <c r="C8" s="19"/>
      <c r="D8" s="19"/>
      <c r="E8" s="19"/>
      <c r="F8" s="19"/>
      <c r="G8" s="19"/>
      <c r="H8" s="19"/>
      <c r="I8" s="19"/>
    </row>
    <row r="9" spans="3:9" ht="12.75">
      <c r="C9" s="25"/>
      <c r="D9" s="25"/>
      <c r="E9" s="26"/>
      <c r="F9" s="26"/>
      <c r="G9" s="26"/>
      <c r="H9" s="26"/>
      <c r="I9" s="6"/>
    </row>
    <row r="10" spans="3:9" ht="12.75">
      <c r="C10" s="27"/>
      <c r="D10" s="27"/>
      <c r="E10" s="27"/>
      <c r="F10" s="28"/>
      <c r="G10" s="27"/>
      <c r="H10" s="27"/>
      <c r="I10" s="7"/>
    </row>
    <row r="11" spans="3:9" ht="12.75">
      <c r="C11" s="29" t="s">
        <v>28</v>
      </c>
      <c r="D11" s="30"/>
      <c r="E11" s="30"/>
      <c r="F11" s="30"/>
      <c r="G11" s="30"/>
      <c r="H11" s="31">
        <f>(Sheet1!$C22)</f>
        <v>0</v>
      </c>
      <c r="I11" s="7"/>
    </row>
    <row r="12" spans="3:9" ht="12.75">
      <c r="C12" s="32"/>
      <c r="D12" s="27"/>
      <c r="E12" s="27"/>
      <c r="F12" s="27"/>
      <c r="G12" s="33" t="s">
        <v>29</v>
      </c>
      <c r="H12" s="34"/>
      <c r="I12" s="7"/>
    </row>
    <row r="13" spans="3:9" ht="12.75">
      <c r="C13" s="32" t="s">
        <v>30</v>
      </c>
      <c r="D13" s="27"/>
      <c r="E13" s="27"/>
      <c r="F13" s="27"/>
      <c r="G13" s="27"/>
      <c r="H13" s="35">
        <f>(Sheet1!$C23)</f>
        <v>173878</v>
      </c>
      <c r="I13" s="7"/>
    </row>
    <row r="14" spans="3:9" ht="12.75">
      <c r="C14" s="32"/>
      <c r="D14" s="27"/>
      <c r="E14" s="27"/>
      <c r="F14" s="27"/>
      <c r="G14" s="33" t="s">
        <v>29</v>
      </c>
      <c r="H14" s="34"/>
      <c r="I14" s="7"/>
    </row>
    <row r="15" spans="3:9" ht="12.75">
      <c r="C15" s="32" t="s">
        <v>31</v>
      </c>
      <c r="D15" s="27"/>
      <c r="E15" s="27"/>
      <c r="F15" s="27"/>
      <c r="G15" s="27"/>
      <c r="H15" s="35">
        <f>(Sheet1!$D38)</f>
        <v>0</v>
      </c>
      <c r="I15" s="7"/>
    </row>
    <row r="16" spans="3:9" ht="12.75">
      <c r="C16" s="32"/>
      <c r="D16" s="27"/>
      <c r="E16" s="27"/>
      <c r="F16" s="27"/>
      <c r="G16" s="33" t="s">
        <v>29</v>
      </c>
      <c r="H16" s="34"/>
      <c r="I16" s="7"/>
    </row>
    <row r="17" spans="3:9" ht="12.75">
      <c r="C17" s="32" t="s">
        <v>32</v>
      </c>
      <c r="D17" s="27"/>
      <c r="E17" s="27"/>
      <c r="F17" s="27"/>
      <c r="G17" s="27"/>
      <c r="H17" s="35">
        <f>(Sheet1!$D39)</f>
        <v>385.39500000000004</v>
      </c>
      <c r="I17" s="7"/>
    </row>
    <row r="18" spans="3:9" ht="12.75">
      <c r="C18" s="32"/>
      <c r="D18" s="27"/>
      <c r="E18" s="27"/>
      <c r="F18" s="27"/>
      <c r="G18" s="33" t="s">
        <v>29</v>
      </c>
      <c r="H18" s="34"/>
      <c r="I18" s="7"/>
    </row>
    <row r="19" spans="3:9" ht="12.75">
      <c r="C19" s="32" t="s">
        <v>33</v>
      </c>
      <c r="D19" s="27"/>
      <c r="E19" s="27"/>
      <c r="F19" s="27"/>
      <c r="G19" s="27"/>
      <c r="H19" s="35">
        <f>(Sheet1!$D36)</f>
        <v>385.39500000000004</v>
      </c>
      <c r="I19" s="7"/>
    </row>
    <row r="20" spans="3:9" ht="12.75">
      <c r="C20" s="32"/>
      <c r="D20" s="27"/>
      <c r="E20" s="27"/>
      <c r="F20" s="27"/>
      <c r="G20" s="33" t="s">
        <v>29</v>
      </c>
      <c r="H20" s="35"/>
      <c r="I20" s="7"/>
    </row>
    <row r="21" spans="3:9" ht="12.75">
      <c r="C21" s="32" t="s">
        <v>34</v>
      </c>
      <c r="D21" s="27"/>
      <c r="E21" s="27"/>
      <c r="F21" s="27"/>
      <c r="G21" s="27"/>
      <c r="H21" s="35">
        <f>(Sheet1!$D41)</f>
        <v>15</v>
      </c>
      <c r="I21" s="7"/>
    </row>
    <row r="22" spans="3:9" ht="12.75">
      <c r="C22" s="32"/>
      <c r="D22" s="27"/>
      <c r="E22" s="27"/>
      <c r="F22" s="27"/>
      <c r="G22" s="33" t="s">
        <v>29</v>
      </c>
      <c r="H22" s="35"/>
      <c r="I22" s="7"/>
    </row>
    <row r="23" spans="3:9" ht="12.75">
      <c r="C23" s="32" t="s">
        <v>35</v>
      </c>
      <c r="D23" s="27"/>
      <c r="E23" s="27"/>
      <c r="F23" s="27"/>
      <c r="G23" s="27"/>
      <c r="H23" s="35">
        <f>(Sheet1!$D42)</f>
        <v>0</v>
      </c>
      <c r="I23" s="7"/>
    </row>
    <row r="24" spans="3:9" ht="12.75">
      <c r="C24" s="32"/>
      <c r="D24" s="27"/>
      <c r="E24" s="27"/>
      <c r="F24" s="27"/>
      <c r="G24" s="33" t="s">
        <v>29</v>
      </c>
      <c r="H24" s="35"/>
      <c r="I24" s="7"/>
    </row>
    <row r="25" spans="3:9" ht="12.75">
      <c r="C25" s="32" t="s">
        <v>36</v>
      </c>
      <c r="D25" s="27"/>
      <c r="E25" s="27"/>
      <c r="F25" s="27"/>
      <c r="G25" s="27"/>
      <c r="H25" s="35">
        <f>(Sheet1!$D43)</f>
        <v>60</v>
      </c>
      <c r="I25" s="7"/>
    </row>
    <row r="26" spans="3:9" ht="12.75">
      <c r="C26" s="32"/>
      <c r="D26" s="27"/>
      <c r="E26" s="27"/>
      <c r="F26" s="27"/>
      <c r="G26" s="33" t="s">
        <v>29</v>
      </c>
      <c r="H26" s="35"/>
      <c r="I26" s="7"/>
    </row>
    <row r="27" spans="3:9" ht="12.75">
      <c r="C27" s="32" t="s">
        <v>37</v>
      </c>
      <c r="D27" s="27"/>
      <c r="E27" s="27"/>
      <c r="F27" s="27"/>
      <c r="G27" s="27"/>
      <c r="H27" s="35">
        <f>+H19+H21+H23+H25</f>
        <v>460.39500000000004</v>
      </c>
      <c r="I27" s="7"/>
    </row>
    <row r="28" spans="3:9" ht="12.75">
      <c r="C28" s="32"/>
      <c r="D28" s="27"/>
      <c r="E28" s="27"/>
      <c r="F28" s="27"/>
      <c r="G28" s="33" t="s">
        <v>29</v>
      </c>
      <c r="H28" s="34"/>
      <c r="I28" s="7"/>
    </row>
    <row r="29" spans="3:9" ht="12.75">
      <c r="C29" s="32" t="s">
        <v>38</v>
      </c>
      <c r="D29" s="27"/>
      <c r="E29" s="27"/>
      <c r="F29" s="27"/>
      <c r="G29" s="27"/>
      <c r="H29" s="35">
        <f>(Sheet1!$D47)</f>
        <v>69.82499999999999</v>
      </c>
      <c r="I29" s="7"/>
    </row>
    <row r="30" spans="3:9" ht="12.75">
      <c r="C30" s="32"/>
      <c r="D30" s="27"/>
      <c r="E30" s="27"/>
      <c r="F30" s="27"/>
      <c r="G30" s="33" t="s">
        <v>29</v>
      </c>
      <c r="H30" s="35"/>
      <c r="I30" s="7"/>
    </row>
    <row r="31" spans="3:9" ht="12.75">
      <c r="C31" s="32" t="s">
        <v>39</v>
      </c>
      <c r="D31" s="27"/>
      <c r="E31" s="27"/>
      <c r="F31" s="27"/>
      <c r="G31" s="27"/>
      <c r="H31" s="35">
        <f>IF(+H13=0,0,+H17+H21+H25)</f>
        <v>460.39500000000004</v>
      </c>
      <c r="I31" s="7"/>
    </row>
    <row r="32" spans="3:9" ht="12.75">
      <c r="C32" s="32"/>
      <c r="D32" s="27"/>
      <c r="E32" s="27"/>
      <c r="F32" s="27"/>
      <c r="G32" s="33" t="s">
        <v>29</v>
      </c>
      <c r="H32" s="35"/>
      <c r="I32" s="7"/>
    </row>
    <row r="33" spans="3:9" ht="12.75">
      <c r="C33" s="32" t="s">
        <v>40</v>
      </c>
      <c r="D33" s="27"/>
      <c r="E33" s="27"/>
      <c r="F33" s="27"/>
      <c r="G33" s="27"/>
      <c r="H33" s="35">
        <f>IF(H13=0,+H15+H23+H21,+H15+H23)</f>
        <v>0</v>
      </c>
      <c r="I33" s="7"/>
    </row>
    <row r="34" spans="3:9" ht="12.75">
      <c r="C34" s="32"/>
      <c r="D34" s="27"/>
      <c r="E34" s="27"/>
      <c r="F34" s="27"/>
      <c r="G34" s="33" t="s">
        <v>29</v>
      </c>
      <c r="H34" s="35"/>
      <c r="I34" s="7"/>
    </row>
    <row r="35" spans="3:10" ht="12.75">
      <c r="C35" s="36" t="s">
        <v>41</v>
      </c>
      <c r="D35" s="37"/>
      <c r="E35" s="37"/>
      <c r="F35" s="37"/>
      <c r="G35" s="37"/>
      <c r="H35" s="38">
        <f>IF(Sheet1!$C22&lt;Sheet1!$C23,H33,J35)</f>
        <v>0</v>
      </c>
      <c r="I35" s="7"/>
      <c r="J35" s="39">
        <f>(Sheet1!$D35)-H25-H23+H21</f>
        <v>271.51500000000004</v>
      </c>
    </row>
    <row r="36" spans="2:9" ht="12.75">
      <c r="B36" s="40"/>
      <c r="C36" s="41"/>
      <c r="D36" s="41"/>
      <c r="E36" s="41"/>
      <c r="F36" s="41"/>
      <c r="G36" s="41"/>
      <c r="H36" s="41"/>
      <c r="I36" s="41"/>
    </row>
    <row r="37" spans="2:9" ht="12.75">
      <c r="B37" s="40"/>
      <c r="C37" s="42"/>
      <c r="D37" s="42"/>
      <c r="E37" s="42"/>
      <c r="F37" s="41"/>
      <c r="G37" s="41"/>
      <c r="H37" s="41"/>
      <c r="I37" s="41"/>
    </row>
    <row r="38" spans="2:9" ht="12.75">
      <c r="B38" s="40"/>
      <c r="C38" s="41"/>
      <c r="D38" s="41"/>
      <c r="E38" s="41"/>
      <c r="F38" s="41"/>
      <c r="G38" s="41"/>
      <c r="H38" s="41"/>
      <c r="I38" s="41"/>
    </row>
    <row r="39" spans="2:9" ht="12.75">
      <c r="B39" s="40"/>
      <c r="C39" s="43"/>
      <c r="D39" s="43"/>
      <c r="E39" s="43"/>
      <c r="F39" s="43"/>
      <c r="G39" s="43"/>
      <c r="H39" s="44"/>
      <c r="I39" s="40"/>
    </row>
    <row r="40" spans="2:9" ht="12.75">
      <c r="B40" s="40"/>
      <c r="C40" s="43"/>
      <c r="D40" s="43"/>
      <c r="E40" s="43"/>
      <c r="F40" s="43"/>
      <c r="G40" s="43"/>
      <c r="H40" s="43"/>
      <c r="I40" s="40"/>
    </row>
    <row r="41" spans="2:9" ht="12.75">
      <c r="B41" s="40"/>
      <c r="C41" s="40"/>
      <c r="D41" s="40"/>
      <c r="E41" s="40"/>
      <c r="F41" s="40"/>
      <c r="G41" s="40"/>
      <c r="H41" s="40"/>
      <c r="I41" s="40"/>
    </row>
    <row r="42" spans="2:9" ht="12.75">
      <c r="B42" s="40"/>
      <c r="C42" s="40"/>
      <c r="D42" s="40"/>
      <c r="E42" s="40"/>
      <c r="F42" s="40"/>
      <c r="G42" s="40"/>
      <c r="H42" s="40"/>
      <c r="I42" s="40"/>
    </row>
  </sheetData>
  <sheetProtection password="CC35" sheet="1" objects="1" scenarios="1"/>
  <printOptions/>
  <pageMargins left="0.25" right="0.25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 operations</dc:creator>
  <cp:keywords/>
  <dc:description/>
  <cp:lastModifiedBy>rbauchle</cp:lastModifiedBy>
  <cp:lastPrinted>2016-04-08T15:20:13Z</cp:lastPrinted>
  <dcterms:created xsi:type="dcterms:W3CDTF">1998-07-21T19:27:34Z</dcterms:created>
  <dcterms:modified xsi:type="dcterms:W3CDTF">2016-05-19T14:15:08Z</dcterms:modified>
  <cp:category/>
  <cp:version/>
  <cp:contentType/>
  <cp:contentStatus/>
</cp:coreProperties>
</file>